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5775" activeTab="0"/>
  </bookViews>
  <sheets>
    <sheet name="Test Data" sheetId="1" r:id="rId1"/>
    <sheet name="Shift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<sst xmlns="http://schemas.openxmlformats.org/spreadsheetml/2006/main" count="92" uniqueCount="78">
  <si>
    <t>lbs.</t>
  </si>
  <si>
    <t>bhp</t>
  </si>
  <si>
    <t>Calculated quarter-mile:</t>
  </si>
  <si>
    <t>seconds @</t>
  </si>
  <si>
    <t>mph</t>
  </si>
  <si>
    <t>Trap correction factor:</t>
  </si>
  <si>
    <t>ET correction factor:</t>
  </si>
  <si>
    <t>mBar</t>
  </si>
  <si>
    <t>Dyno correction factor:</t>
  </si>
  <si>
    <t>° Farenheit</t>
  </si>
  <si>
    <t>° Celcius</t>
  </si>
  <si>
    <t>Humidity:</t>
  </si>
  <si>
    <t>Vapor pressure:</t>
  </si>
  <si>
    <t>Increase in recorded power:</t>
  </si>
  <si>
    <t>mBars per in. Hg</t>
  </si>
  <si>
    <t>SAE bhp</t>
  </si>
  <si>
    <t>Rated power:</t>
  </si>
  <si>
    <t>Test vehicle weight:</t>
  </si>
  <si>
    <t>Measured power:</t>
  </si>
  <si>
    <t>sq. ft.</t>
  </si>
  <si>
    <t>(Cd)</t>
  </si>
  <si>
    <t>Drag coefficient:</t>
  </si>
  <si>
    <t>Frontal area:</t>
  </si>
  <si>
    <t>Speed at power peak:</t>
  </si>
  <si>
    <t>Figures in black are calculated.</t>
  </si>
  <si>
    <t>Figures in blue are user-entered data.</t>
  </si>
  <si>
    <t>Recorded quarter-mile:</t>
  </si>
  <si>
    <t>Adjusted vehicle weight:</t>
  </si>
  <si>
    <t>Weight and weather corrected:</t>
  </si>
  <si>
    <t>Atmospheric Data</t>
  </si>
  <si>
    <t>Vehicle Data</t>
  </si>
  <si>
    <t>Aerodynamic Data</t>
  </si>
  <si>
    <t>Weather corrected:</t>
  </si>
  <si>
    <t>Transmission type:</t>
  </si>
  <si>
    <t>recorded vehicle weight</t>
  </si>
  <si>
    <t>weight with only driver, 1/4 tank of fuel</t>
  </si>
  <si>
    <t>maximum measured power</t>
  </si>
  <si>
    <t>(A or M)</t>
  </si>
  <si>
    <t>-</t>
  </si>
  <si>
    <t>estimated SAE net ("crank") horsepower</t>
  </si>
  <si>
    <t>Calculated net power:</t>
  </si>
  <si>
    <t>reverse-calculated SAE net horsepower</t>
  </si>
  <si>
    <t>29.235 in. Hg / 990 mBar actual pressure</t>
  </si>
  <si>
    <t>Performance Data</t>
  </si>
  <si>
    <t>Test Data and Results</t>
  </si>
  <si>
    <t>Calculated aerodynamic drag:</t>
  </si>
  <si>
    <t>Intake temperature:</t>
  </si>
  <si>
    <t>Ambient temperature:</t>
  </si>
  <si>
    <t>in. Hg</t>
  </si>
  <si>
    <t>Torque peak (rpm):</t>
  </si>
  <si>
    <t>Redline (rpm):</t>
  </si>
  <si>
    <t>Gear ratios:</t>
  </si>
  <si>
    <t>1st</t>
  </si>
  <si>
    <t>2nd</t>
  </si>
  <si>
    <t>3rd</t>
  </si>
  <si>
    <t>4th</t>
  </si>
  <si>
    <t>5th</t>
  </si>
  <si>
    <t>6th</t>
  </si>
  <si>
    <t>manuals typically have 16-18% loss</t>
  </si>
  <si>
    <t>automatics typically have 20-23% loss</t>
  </si>
  <si>
    <t>Driven wheels:</t>
  </si>
  <si>
    <t>1% loss, and AWD adds 5%</t>
  </si>
  <si>
    <t>FWD is the most efficient.  RWD adds</t>
  </si>
  <si>
    <t>M</t>
  </si>
  <si>
    <t>(F, R, or A)</t>
  </si>
  <si>
    <t>Normally or Artificially aspirated:</t>
  </si>
  <si>
    <t>A = turbo/supercharger, N=standard</t>
  </si>
  <si>
    <t>(N or A)</t>
  </si>
  <si>
    <t>Maximum boost pressure recorded:</t>
  </si>
  <si>
    <t>PSI</t>
  </si>
  <si>
    <t>Weather correction is using SAE J1349</t>
  </si>
  <si>
    <t>(June 1990):  77° F / 25° C, 0% humidity</t>
  </si>
  <si>
    <t>Absolute barometric pressure:</t>
  </si>
  <si>
    <t>R</t>
  </si>
  <si>
    <t>N</t>
  </si>
  <si>
    <t>v1.4</t>
  </si>
  <si>
    <t>(includes weather correction)</t>
  </si>
  <si>
    <t>(only for turbo/superchargers)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</si>
</sst>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12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6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43" fontId="0" fillId="0" borderId="0" xfId="15" applyAlignment="1">
      <alignment horizontal="right"/>
    </xf>
    <xf numFmtId="167" fontId="0" fillId="0" borderId="0" xfId="15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indent="1"/>
    </xf>
    <xf numFmtId="0" fontId="5" fillId="0" borderId="0" xfId="0" applyFont="1" applyAlignment="1" quotePrefix="1">
      <alignment horizontal="center" wrapText="1"/>
    </xf>
    <xf numFmtId="164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shrinkToFit="1"/>
    </xf>
    <xf numFmtId="165" fontId="1" fillId="2" borderId="0" xfId="15" applyNumberFormat="1" applyFont="1" applyFill="1" applyBorder="1" applyAlignment="1" applyProtection="1">
      <alignment horizontal="right"/>
      <protection locked="0"/>
    </xf>
    <xf numFmtId="9" fontId="1" fillId="2" borderId="0" xfId="19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/>
      <protection locked="0"/>
    </xf>
    <xf numFmtId="165" fontId="1" fillId="2" borderId="0" xfId="15" applyNumberFormat="1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 horizontal="right"/>
      <protection locked="0"/>
    </xf>
    <xf numFmtId="165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ont="1" applyFill="1" applyBorder="1" applyAlignment="1" applyProtection="1">
      <alignment horizontal="left"/>
      <protection/>
    </xf>
    <xf numFmtId="165" fontId="0" fillId="0" borderId="0" xfId="15" applyNumberForma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43" fontId="0" fillId="2" borderId="0" xfId="15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/>
      <protection/>
    </xf>
    <xf numFmtId="165" fontId="1" fillId="2" borderId="0" xfId="15" applyNumberFormat="1" applyFont="1" applyFill="1" applyBorder="1" applyAlignment="1" applyProtection="1">
      <alignment horizontal="righ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 quotePrefix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165" fontId="0" fillId="2" borderId="0" xfId="15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left"/>
      <protection/>
    </xf>
    <xf numFmtId="1" fontId="0" fillId="2" borderId="0" xfId="15" applyNumberFormat="1" applyFont="1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ill="1" applyBorder="1" applyAlignment="1" applyProtection="1">
      <alignment horizontal="left"/>
      <protection/>
    </xf>
    <xf numFmtId="165" fontId="0" fillId="2" borderId="0" xfId="15" applyNumberForma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 horizontal="right"/>
      <protection/>
    </xf>
    <xf numFmtId="167" fontId="0" fillId="2" borderId="0" xfId="15" applyNumberFormat="1" applyFill="1" applyBorder="1" applyAlignment="1" applyProtection="1">
      <alignment horizontal="right"/>
      <protection/>
    </xf>
    <xf numFmtId="179" fontId="0" fillId="2" borderId="0" xfId="19" applyNumberForma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wrapText="1"/>
      <protection/>
    </xf>
    <xf numFmtId="9" fontId="0" fillId="2" borderId="0" xfId="19" applyFill="1" applyBorder="1" applyAlignment="1" applyProtection="1">
      <alignment/>
      <protection/>
    </xf>
    <xf numFmtId="0" fontId="0" fillId="2" borderId="0" xfId="0" applyNumberFormat="1" applyFill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2" fontId="0" fillId="2" borderId="2" xfId="15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 wrapText="1"/>
      <protection/>
    </xf>
    <xf numFmtId="0" fontId="10" fillId="2" borderId="0" xfId="0" applyFont="1" applyFill="1" applyBorder="1" applyAlignment="1" applyProtection="1">
      <alignment horizontal="right"/>
      <protection/>
    </xf>
    <xf numFmtId="43" fontId="10" fillId="2" borderId="0" xfId="15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center"/>
      <protection/>
    </xf>
    <xf numFmtId="164" fontId="10" fillId="2" borderId="0" xfId="15" applyNumberFormat="1" applyFont="1" applyFill="1" applyBorder="1" applyAlignment="1" applyProtection="1">
      <alignment horizontal="right"/>
      <protection/>
    </xf>
    <xf numFmtId="0" fontId="10" fillId="2" borderId="0" xfId="0" applyNumberFormat="1" applyFont="1" applyFill="1" applyBorder="1" applyAlignment="1" applyProtection="1">
      <alignment horizontal="left"/>
      <protection/>
    </xf>
    <xf numFmtId="0" fontId="3" fillId="2" borderId="0" xfId="15" applyNumberFormat="1" applyFont="1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right"/>
      <protection/>
    </xf>
    <xf numFmtId="43" fontId="0" fillId="2" borderId="4" xfId="15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left"/>
      <protection/>
    </xf>
    <xf numFmtId="164" fontId="0" fillId="2" borderId="4" xfId="15" applyNumberForma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 wrapText="1"/>
      <protection/>
    </xf>
    <xf numFmtId="165" fontId="0" fillId="2" borderId="0" xfId="15" applyNumberForma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>
      <alignment horizontal="left"/>
    </xf>
    <xf numFmtId="0" fontId="7" fillId="3" borderId="6" xfId="0" applyFont="1" applyFill="1" applyBorder="1" applyAlignment="1" applyProtection="1">
      <alignment horizontal="center" shrinkToFit="1"/>
      <protection/>
    </xf>
    <xf numFmtId="0" fontId="7" fillId="3" borderId="7" xfId="0" applyFont="1" applyFill="1" applyBorder="1" applyAlignment="1" applyProtection="1">
      <alignment horizontal="center" shrinkToFit="1"/>
      <protection/>
    </xf>
    <xf numFmtId="0" fontId="7" fillId="3" borderId="8" xfId="0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tabSelected="1" workbookViewId="0" topLeftCell="A1">
      <selection activeCell="D43" sqref="D43"/>
    </sheetView>
  </sheetViews>
  <sheetFormatPr defaultColWidth="9.140625" defaultRowHeight="12.75"/>
  <cols>
    <col min="1" max="2" width="5.57421875" style="0" customWidth="1"/>
    <col min="3" max="3" width="28.8515625" style="1" customWidth="1"/>
    <col min="4" max="4" width="9.7109375" style="6" customWidth="1"/>
    <col min="5" max="5" width="1.421875" style="3" customWidth="1"/>
    <col min="6" max="6" width="8.57421875" style="3" customWidth="1"/>
    <col min="7" max="7" width="6.421875" style="2" customWidth="1"/>
    <col min="8" max="8" width="8.57421875" style="8" customWidth="1"/>
    <col min="9" max="9" width="10.421875" style="0" customWidth="1"/>
    <col min="10" max="10" width="9.57421875" style="0" bestFit="1" customWidth="1"/>
  </cols>
  <sheetData>
    <row r="1" ht="13.5" thickBot="1"/>
    <row r="2" spans="2:11" s="17" customFormat="1" ht="18.75" customHeight="1" thickBot="1">
      <c r="B2" s="76" t="s">
        <v>44</v>
      </c>
      <c r="C2" s="77"/>
      <c r="D2" s="77"/>
      <c r="E2" s="77"/>
      <c r="F2" s="77"/>
      <c r="G2" s="77"/>
      <c r="H2" s="77"/>
      <c r="I2" s="77"/>
      <c r="J2" s="77"/>
      <c r="K2" s="78"/>
    </row>
    <row r="3" spans="2:11" ht="7.5" customHeight="1">
      <c r="B3" s="28"/>
      <c r="C3" s="29"/>
      <c r="D3" s="30"/>
      <c r="E3" s="31"/>
      <c r="F3" s="31"/>
      <c r="G3" s="32"/>
      <c r="H3" s="33"/>
      <c r="I3" s="34"/>
      <c r="J3" s="34"/>
      <c r="K3" s="35" t="s">
        <v>75</v>
      </c>
    </row>
    <row r="4" spans="2:11" ht="12.75">
      <c r="B4" s="28"/>
      <c r="C4" s="36" t="s">
        <v>30</v>
      </c>
      <c r="D4" s="30"/>
      <c r="E4" s="31"/>
      <c r="F4" s="31"/>
      <c r="G4" s="32"/>
      <c r="H4" s="33"/>
      <c r="I4" s="34"/>
      <c r="J4" s="34"/>
      <c r="K4" s="37"/>
    </row>
    <row r="5" spans="2:11" ht="7.5" customHeight="1">
      <c r="B5" s="28"/>
      <c r="C5" s="36"/>
      <c r="D5" s="30"/>
      <c r="E5" s="31"/>
      <c r="F5" s="31"/>
      <c r="G5" s="32"/>
      <c r="H5" s="33"/>
      <c r="I5" s="34"/>
      <c r="J5" s="34"/>
      <c r="K5" s="37"/>
    </row>
    <row r="6" spans="2:11" ht="12.75">
      <c r="B6" s="28"/>
      <c r="C6" s="29" t="s">
        <v>17</v>
      </c>
      <c r="D6" s="18">
        <v>4200</v>
      </c>
      <c r="E6" s="31" t="s">
        <v>0</v>
      </c>
      <c r="F6" s="31"/>
      <c r="G6" s="32"/>
      <c r="H6" s="39" t="s">
        <v>34</v>
      </c>
      <c r="I6" s="34"/>
      <c r="J6" s="34"/>
      <c r="K6" s="37"/>
    </row>
    <row r="7" spans="2:11" ht="12.75">
      <c r="B7" s="28"/>
      <c r="C7" s="29" t="s">
        <v>27</v>
      </c>
      <c r="D7" s="18">
        <v>3975</v>
      </c>
      <c r="E7" s="31" t="s">
        <v>0</v>
      </c>
      <c r="F7" s="31"/>
      <c r="G7" s="32"/>
      <c r="H7" s="39" t="s">
        <v>35</v>
      </c>
      <c r="I7" s="34"/>
      <c r="J7" s="34"/>
      <c r="K7" s="37"/>
    </row>
    <row r="8" spans="2:11" ht="12.75">
      <c r="B8" s="28"/>
      <c r="C8" s="29" t="s">
        <v>33</v>
      </c>
      <c r="D8" s="18" t="s">
        <v>63</v>
      </c>
      <c r="E8" s="40" t="s">
        <v>37</v>
      </c>
      <c r="F8" s="40"/>
      <c r="G8" s="32"/>
      <c r="H8" s="39" t="s">
        <v>59</v>
      </c>
      <c r="I8" s="41"/>
      <c r="J8" s="34"/>
      <c r="K8" s="37"/>
    </row>
    <row r="9" spans="2:11" ht="12.75">
      <c r="B9" s="28"/>
      <c r="C9" s="29"/>
      <c r="D9" s="38"/>
      <c r="E9" s="31"/>
      <c r="F9" s="31"/>
      <c r="G9" s="32"/>
      <c r="H9" s="39" t="s">
        <v>58</v>
      </c>
      <c r="I9" s="34"/>
      <c r="J9" s="34"/>
      <c r="K9" s="37"/>
    </row>
    <row r="10" spans="2:11" ht="12.75">
      <c r="B10" s="28"/>
      <c r="C10" s="29" t="s">
        <v>60</v>
      </c>
      <c r="D10" s="18" t="s">
        <v>73</v>
      </c>
      <c r="E10" s="31" t="s">
        <v>64</v>
      </c>
      <c r="F10" s="31"/>
      <c r="G10" s="32"/>
      <c r="H10" s="39" t="s">
        <v>62</v>
      </c>
      <c r="I10" s="34"/>
      <c r="J10" s="34"/>
      <c r="K10" s="37"/>
    </row>
    <row r="11" spans="2:11" ht="12.75">
      <c r="B11" s="28"/>
      <c r="C11" s="29"/>
      <c r="D11" s="38"/>
      <c r="E11" s="31"/>
      <c r="F11" s="31"/>
      <c r="G11" s="32"/>
      <c r="H11" s="39" t="s">
        <v>61</v>
      </c>
      <c r="I11" s="34"/>
      <c r="J11" s="34"/>
      <c r="K11" s="37"/>
    </row>
    <row r="12" spans="2:11" ht="12.75">
      <c r="B12" s="28"/>
      <c r="C12" s="29" t="s">
        <v>65</v>
      </c>
      <c r="D12" s="18" t="s">
        <v>74</v>
      </c>
      <c r="E12" s="31" t="s">
        <v>67</v>
      </c>
      <c r="F12" s="31"/>
      <c r="G12" s="32"/>
      <c r="H12" s="39" t="s">
        <v>66</v>
      </c>
      <c r="I12" s="34"/>
      <c r="J12" s="34"/>
      <c r="K12" s="37"/>
    </row>
    <row r="13" spans="2:11" ht="12.75">
      <c r="B13" s="28"/>
      <c r="C13" s="29" t="s">
        <v>16</v>
      </c>
      <c r="D13" s="18">
        <v>350</v>
      </c>
      <c r="E13" s="31" t="s">
        <v>15</v>
      </c>
      <c r="F13" s="31"/>
      <c r="G13" s="32"/>
      <c r="H13" s="39" t="s">
        <v>39</v>
      </c>
      <c r="I13" s="34"/>
      <c r="J13" s="34"/>
      <c r="K13" s="37"/>
    </row>
    <row r="14" spans="2:11" ht="12.75">
      <c r="B14" s="28"/>
      <c r="C14" s="29" t="s">
        <v>18</v>
      </c>
      <c r="D14" s="18">
        <f>(263+275)/2</f>
        <v>269</v>
      </c>
      <c r="E14" s="31" t="s">
        <v>1</v>
      </c>
      <c r="F14" s="31"/>
      <c r="G14" s="32"/>
      <c r="H14" s="39" t="s">
        <v>36</v>
      </c>
      <c r="I14" s="34"/>
      <c r="J14" s="34"/>
      <c r="K14" s="37"/>
    </row>
    <row r="15" spans="2:11" ht="12.75">
      <c r="B15" s="28"/>
      <c r="C15" s="29" t="s">
        <v>40</v>
      </c>
      <c r="D15" s="42">
        <f>($D$14+$D$33)*$D$25*(IF($D$8="M",1.16,1.2)+IF($D$10="R",0.01,0)+IF($D$10="A",0.05,0))</f>
        <v>351.19155863549275</v>
      </c>
      <c r="E15" s="43" t="s">
        <v>38</v>
      </c>
      <c r="F15" s="44">
        <f>($D$14+$D$33)*$D$25*(IF($D$8="M",1.18,1.23)+IF($D$10="R",0.01,0)+IF($D$10="A",0.05,0))</f>
        <v>357.19483314208236</v>
      </c>
      <c r="G15" s="26"/>
      <c r="H15" s="39" t="s">
        <v>41</v>
      </c>
      <c r="I15" s="34"/>
      <c r="J15" s="34"/>
      <c r="K15" s="37"/>
    </row>
    <row r="16" spans="2:11" ht="12.75">
      <c r="B16" s="28"/>
      <c r="C16" s="29"/>
      <c r="D16" s="42"/>
      <c r="E16" s="31"/>
      <c r="F16" s="44"/>
      <c r="G16" s="32"/>
      <c r="H16" s="75" t="s">
        <v>76</v>
      </c>
      <c r="I16" s="34"/>
      <c r="J16" s="34"/>
      <c r="K16" s="37"/>
    </row>
    <row r="17" spans="2:11" ht="12.75">
      <c r="B17" s="28"/>
      <c r="C17" s="36" t="s">
        <v>29</v>
      </c>
      <c r="D17" s="30"/>
      <c r="E17" s="31"/>
      <c r="F17" s="31"/>
      <c r="G17" s="32"/>
      <c r="H17" s="33"/>
      <c r="I17" s="34"/>
      <c r="J17" s="34"/>
      <c r="K17" s="37"/>
    </row>
    <row r="18" spans="2:11" ht="7.5" customHeight="1">
      <c r="B18" s="28"/>
      <c r="C18" s="36"/>
      <c r="D18" s="30"/>
      <c r="E18" s="31"/>
      <c r="F18" s="31"/>
      <c r="G18" s="32"/>
      <c r="H18" s="33"/>
      <c r="I18" s="34"/>
      <c r="J18" s="34"/>
      <c r="K18" s="37"/>
    </row>
    <row r="19" spans="2:11" ht="12.75">
      <c r="B19" s="28"/>
      <c r="C19" s="29" t="s">
        <v>68</v>
      </c>
      <c r="D19" s="18">
        <v>0</v>
      </c>
      <c r="E19" s="31" t="s">
        <v>69</v>
      </c>
      <c r="F19" s="32"/>
      <c r="G19" s="45">
        <f>D19*2.036</f>
        <v>0</v>
      </c>
      <c r="H19" s="34" t="s">
        <v>48</v>
      </c>
      <c r="I19" s="41" t="s">
        <v>77</v>
      </c>
      <c r="J19" s="34"/>
      <c r="K19" s="37"/>
    </row>
    <row r="20" spans="2:11" ht="12.75" customHeight="1">
      <c r="B20" s="28"/>
      <c r="C20" s="29" t="s">
        <v>47</v>
      </c>
      <c r="D20" s="18">
        <v>82</v>
      </c>
      <c r="E20" s="31" t="s">
        <v>9</v>
      </c>
      <c r="F20" s="31"/>
      <c r="G20" s="25">
        <f>(D20-32)*(5/9)</f>
        <v>27.77777777777778</v>
      </c>
      <c r="H20" s="26" t="s">
        <v>10</v>
      </c>
      <c r="I20" s="34"/>
      <c r="J20" s="34"/>
      <c r="K20" s="37"/>
    </row>
    <row r="21" spans="2:11" ht="12.75">
      <c r="B21" s="28"/>
      <c r="C21" s="29" t="s">
        <v>46</v>
      </c>
      <c r="D21" s="18">
        <v>82</v>
      </c>
      <c r="E21" s="31" t="s">
        <v>9</v>
      </c>
      <c r="F21" s="31"/>
      <c r="G21" s="25">
        <f>(D21-32)*(5/9)</f>
        <v>27.77777777777778</v>
      </c>
      <c r="H21" s="26" t="s">
        <v>10</v>
      </c>
      <c r="I21" s="34"/>
      <c r="J21" s="34"/>
      <c r="K21" s="37"/>
    </row>
    <row r="22" spans="2:11" ht="12.75">
      <c r="B22" s="28"/>
      <c r="C22" s="29" t="s">
        <v>11</v>
      </c>
      <c r="D22" s="19">
        <v>0.57</v>
      </c>
      <c r="E22" s="31"/>
      <c r="F22" s="31"/>
      <c r="G22" s="34"/>
      <c r="H22" s="46"/>
      <c r="I22" s="34"/>
      <c r="J22" s="34"/>
      <c r="K22" s="37"/>
    </row>
    <row r="23" spans="2:11" ht="12.75">
      <c r="B23" s="28"/>
      <c r="C23" s="29" t="s">
        <v>72</v>
      </c>
      <c r="D23" s="20">
        <v>28.9</v>
      </c>
      <c r="E23" s="31" t="s">
        <v>48</v>
      </c>
      <c r="F23" s="31"/>
      <c r="G23" s="47">
        <f>(D23*$I$23)</f>
        <v>978.6664209999999</v>
      </c>
      <c r="H23" s="26" t="s">
        <v>7</v>
      </c>
      <c r="I23" s="34">
        <f>33.86389</f>
        <v>33.86389</v>
      </c>
      <c r="J23" s="31" t="s">
        <v>14</v>
      </c>
      <c r="K23" s="37"/>
    </row>
    <row r="24" spans="2:11" ht="12.75">
      <c r="B24" s="28"/>
      <c r="C24" s="29" t="s">
        <v>12</v>
      </c>
      <c r="D24" s="48">
        <f>6.1078*10^((7.5*G21)/(237.3+G21))*D22/I23</f>
        <v>0.6279942516786104</v>
      </c>
      <c r="E24" s="31" t="s">
        <v>48</v>
      </c>
      <c r="F24" s="31"/>
      <c r="G24" s="47">
        <f>(D24*$I$23)</f>
        <v>21.26632825947678</v>
      </c>
      <c r="H24" s="26" t="s">
        <v>7</v>
      </c>
      <c r="I24" s="34"/>
      <c r="J24" s="34"/>
      <c r="K24" s="37"/>
    </row>
    <row r="25" spans="2:11" ht="12.75">
      <c r="B25" s="28"/>
      <c r="C25" s="29" t="s">
        <v>8</v>
      </c>
      <c r="D25" s="49">
        <f>IF($D$12="A",1.18*((29.235+$G$19)/($D$23+$G$19-(($G$19/$D$23)*$D$24)))*(($G$21+273)/298)^(1/2)-0.18,1.18*(29.235/($D$23-$D$24))*(($G$21+273)/298)^(1/2)-0.18)</f>
        <v>1.0458666387786795</v>
      </c>
      <c r="E25" s="31"/>
      <c r="F25" s="31"/>
      <c r="G25" s="32"/>
      <c r="H25" s="26"/>
      <c r="I25" s="34"/>
      <c r="J25" s="34"/>
      <c r="K25" s="37"/>
    </row>
    <row r="26" spans="2:12" ht="12.75">
      <c r="B26" s="28"/>
      <c r="C26" s="29" t="s">
        <v>13</v>
      </c>
      <c r="D26" s="50">
        <f>(1/D25)-1</f>
        <v>-0.043855150435088586</v>
      </c>
      <c r="E26" s="31"/>
      <c r="F26" s="31"/>
      <c r="G26" s="32"/>
      <c r="H26" s="39" t="s">
        <v>70</v>
      </c>
      <c r="I26" s="34"/>
      <c r="J26" s="34"/>
      <c r="K26" s="51"/>
      <c r="L26" s="10"/>
    </row>
    <row r="27" spans="2:13" ht="12.75">
      <c r="B27" s="28"/>
      <c r="C27" s="29"/>
      <c r="D27" s="52"/>
      <c r="E27" s="31"/>
      <c r="F27" s="31"/>
      <c r="G27" s="32"/>
      <c r="H27" s="39" t="s">
        <v>71</v>
      </c>
      <c r="I27" s="34"/>
      <c r="J27" s="34"/>
      <c r="K27" s="51"/>
      <c r="L27" s="10"/>
      <c r="M27" s="11"/>
    </row>
    <row r="28" spans="2:13" ht="12.75">
      <c r="B28" s="28"/>
      <c r="C28" s="36" t="s">
        <v>31</v>
      </c>
      <c r="D28" s="52"/>
      <c r="E28" s="31"/>
      <c r="F28" s="31"/>
      <c r="G28" s="32"/>
      <c r="H28" s="39" t="s">
        <v>42</v>
      </c>
      <c r="I28" s="34"/>
      <c r="J28" s="34"/>
      <c r="K28" s="51"/>
      <c r="L28" s="10"/>
      <c r="M28" s="11"/>
    </row>
    <row r="29" spans="2:13" ht="7.5" customHeight="1">
      <c r="B29" s="28"/>
      <c r="C29" s="36"/>
      <c r="D29" s="52"/>
      <c r="E29" s="31"/>
      <c r="F29" s="31"/>
      <c r="G29" s="32"/>
      <c r="H29" s="39"/>
      <c r="I29" s="34"/>
      <c r="J29" s="34"/>
      <c r="K29" s="51"/>
      <c r="L29" s="10"/>
      <c r="M29" s="11"/>
    </row>
    <row r="30" spans="2:13" ht="12.75">
      <c r="B30" s="28"/>
      <c r="C30" s="29" t="s">
        <v>21</v>
      </c>
      <c r="D30" s="21">
        <v>0.4</v>
      </c>
      <c r="E30" s="31" t="s">
        <v>20</v>
      </c>
      <c r="F30" s="31"/>
      <c r="G30" s="32"/>
      <c r="H30" s="39"/>
      <c r="I30" s="34"/>
      <c r="J30" s="34"/>
      <c r="K30" s="51"/>
      <c r="L30" s="10"/>
      <c r="M30" s="11"/>
    </row>
    <row r="31" spans="2:13" ht="12.75">
      <c r="B31" s="28"/>
      <c r="C31" s="29" t="s">
        <v>22</v>
      </c>
      <c r="D31" s="22">
        <v>22</v>
      </c>
      <c r="E31" s="31" t="s">
        <v>19</v>
      </c>
      <c r="F31" s="31"/>
      <c r="G31" s="32"/>
      <c r="H31" s="39"/>
      <c r="I31" s="34"/>
      <c r="J31" s="34"/>
      <c r="K31" s="51"/>
      <c r="L31" s="10"/>
      <c r="M31" s="11"/>
    </row>
    <row r="32" spans="2:13" ht="12.75">
      <c r="B32" s="28"/>
      <c r="C32" s="29" t="s">
        <v>23</v>
      </c>
      <c r="D32" s="23">
        <v>68</v>
      </c>
      <c r="E32" s="31" t="s">
        <v>4</v>
      </c>
      <c r="F32" s="31"/>
      <c r="G32" s="32"/>
      <c r="H32" s="53"/>
      <c r="I32" s="34"/>
      <c r="J32" s="34"/>
      <c r="K32" s="51"/>
      <c r="L32" s="10"/>
      <c r="M32" s="11"/>
    </row>
    <row r="33" spans="2:13" ht="12.75">
      <c r="B33" s="28"/>
      <c r="C33" s="29" t="s">
        <v>45</v>
      </c>
      <c r="D33" s="74">
        <f>ROUND((D30*D31*(D32)^3)/150000,0)</f>
        <v>18</v>
      </c>
      <c r="E33" s="31" t="s">
        <v>1</v>
      </c>
      <c r="F33" s="31"/>
      <c r="G33" s="32"/>
      <c r="H33" s="53"/>
      <c r="I33" s="34"/>
      <c r="J33" s="34"/>
      <c r="K33" s="51"/>
      <c r="L33" s="10"/>
      <c r="M33" s="11"/>
    </row>
    <row r="34" spans="2:13" ht="12.75">
      <c r="B34" s="28"/>
      <c r="C34" s="29"/>
      <c r="D34" s="47"/>
      <c r="E34" s="31"/>
      <c r="F34" s="31"/>
      <c r="G34" s="32"/>
      <c r="H34" s="54"/>
      <c r="I34" s="34"/>
      <c r="J34" s="34"/>
      <c r="K34" s="51"/>
      <c r="L34" s="10"/>
      <c r="M34" s="11"/>
    </row>
    <row r="35" spans="2:13" ht="12.75">
      <c r="B35" s="28"/>
      <c r="C35" s="36" t="s">
        <v>43</v>
      </c>
      <c r="D35" s="47"/>
      <c r="E35" s="31"/>
      <c r="F35" s="31"/>
      <c r="G35" s="32"/>
      <c r="H35" s="54"/>
      <c r="I35" s="55"/>
      <c r="J35" s="34"/>
      <c r="K35" s="51"/>
      <c r="L35" s="10"/>
      <c r="M35" s="11"/>
    </row>
    <row r="36" spans="2:13" ht="7.5" customHeight="1">
      <c r="B36" s="28"/>
      <c r="C36" s="36"/>
      <c r="D36" s="47"/>
      <c r="E36" s="31"/>
      <c r="F36" s="31"/>
      <c r="G36" s="32"/>
      <c r="H36" s="54"/>
      <c r="I36" s="55"/>
      <c r="J36" s="34"/>
      <c r="K36" s="51"/>
      <c r="L36" s="10"/>
      <c r="M36" s="11"/>
    </row>
    <row r="37" spans="2:13" ht="12.75">
      <c r="B37" s="28"/>
      <c r="C37" s="29" t="s">
        <v>2</v>
      </c>
      <c r="D37" s="30">
        <f>($D$6/$D$13)^(1/3)*5.825</f>
        <v>13.335920925746317</v>
      </c>
      <c r="E37" s="31" t="s">
        <v>3</v>
      </c>
      <c r="F37" s="56"/>
      <c r="G37" s="45">
        <f>($D$13/$D$6)^(1/3)*234</f>
        <v>102.20891437414696</v>
      </c>
      <c r="H37" s="33" t="s">
        <v>4</v>
      </c>
      <c r="I37" s="55"/>
      <c r="J37" s="29" t="s">
        <v>6</v>
      </c>
      <c r="K37" s="57">
        <f>$D$38/$D37</f>
        <v>1.0909257846537377</v>
      </c>
      <c r="L37" s="10"/>
      <c r="M37" s="11"/>
    </row>
    <row r="38" spans="2:13" ht="12.75">
      <c r="B38" s="28"/>
      <c r="C38" s="29" t="s">
        <v>26</v>
      </c>
      <c r="D38" s="20">
        <f>(14.448+14.649)/2</f>
        <v>14.5485</v>
      </c>
      <c r="E38" s="31" t="s">
        <v>3</v>
      </c>
      <c r="F38" s="56"/>
      <c r="G38" s="24">
        <f>(102+104.99)/2</f>
        <v>103.495</v>
      </c>
      <c r="H38" s="33" t="s">
        <v>4</v>
      </c>
      <c r="I38" s="55"/>
      <c r="J38" s="29" t="s">
        <v>5</v>
      </c>
      <c r="K38" s="57">
        <f>$G$38/$G$37</f>
        <v>1.0125829105389497</v>
      </c>
      <c r="L38" s="10"/>
      <c r="M38" s="11"/>
    </row>
    <row r="39" spans="2:13" ht="12.75">
      <c r="B39" s="28"/>
      <c r="C39" s="58" t="s">
        <v>32</v>
      </c>
      <c r="D39" s="30">
        <f>($D$6/($D$13*$D$25))^(1/3)*5.825*$K$37</f>
        <v>14.332637439925305</v>
      </c>
      <c r="E39" s="31" t="s">
        <v>3</v>
      </c>
      <c r="F39" s="56"/>
      <c r="G39" s="45">
        <f>(($D$13*$D$25)/$D$6)^(1/3)*234*$K$38</f>
        <v>105.05372886260963</v>
      </c>
      <c r="H39" s="33" t="s">
        <v>4</v>
      </c>
      <c r="I39" s="55"/>
      <c r="J39" s="34"/>
      <c r="K39" s="51"/>
      <c r="L39" s="10"/>
      <c r="M39" s="11"/>
    </row>
    <row r="40" spans="2:13" ht="12.75">
      <c r="B40" s="28"/>
      <c r="C40" s="59" t="s">
        <v>28</v>
      </c>
      <c r="D40" s="60">
        <f>($D$7/($D$13*$D$25))^(1/3)*5.825*$K$37</f>
        <v>14.071986049697026</v>
      </c>
      <c r="E40" s="61" t="s">
        <v>3</v>
      </c>
      <c r="F40" s="62"/>
      <c r="G40" s="63">
        <f>(($D$13*$D$25)/$D$7)^(1/3)*234*$K$38</f>
        <v>106.99960916550356</v>
      </c>
      <c r="H40" s="64" t="s">
        <v>4</v>
      </c>
      <c r="I40" s="34"/>
      <c r="J40" s="34"/>
      <c r="K40" s="51"/>
      <c r="L40" s="10"/>
      <c r="M40" s="11"/>
    </row>
    <row r="41" spans="2:13" ht="12.75">
      <c r="B41" s="28"/>
      <c r="C41" s="29"/>
      <c r="D41" s="30"/>
      <c r="E41" s="31"/>
      <c r="F41" s="56"/>
      <c r="G41" s="32"/>
      <c r="H41" s="33"/>
      <c r="I41" s="34"/>
      <c r="J41" s="34"/>
      <c r="K41" s="51"/>
      <c r="L41" s="10"/>
      <c r="M41" s="11"/>
    </row>
    <row r="42" spans="2:13" ht="12.75">
      <c r="B42" s="28"/>
      <c r="C42" s="65" t="s">
        <v>25</v>
      </c>
      <c r="D42" s="30"/>
      <c r="E42" s="31"/>
      <c r="F42" s="31"/>
      <c r="G42" s="54" t="s">
        <v>24</v>
      </c>
      <c r="H42" s="33"/>
      <c r="I42" s="34"/>
      <c r="J42" s="34"/>
      <c r="K42" s="51"/>
      <c r="L42" s="10"/>
      <c r="M42" s="11"/>
    </row>
    <row r="43" spans="2:13" ht="7.5" customHeight="1" thickBot="1">
      <c r="B43" s="66"/>
      <c r="C43" s="67"/>
      <c r="D43" s="68"/>
      <c r="E43" s="69"/>
      <c r="F43" s="69"/>
      <c r="G43" s="70"/>
      <c r="H43" s="71"/>
      <c r="I43" s="72"/>
      <c r="J43" s="72"/>
      <c r="K43" s="73"/>
      <c r="L43" s="10"/>
      <c r="M43" s="14"/>
    </row>
    <row r="44" spans="11:13" ht="12.75">
      <c r="K44" s="10"/>
      <c r="L44" s="10"/>
      <c r="M44" s="12"/>
    </row>
    <row r="46" ht="12.75">
      <c r="F46" s="9"/>
    </row>
    <row r="47" spans="4:7" ht="12.75">
      <c r="D47" s="5"/>
      <c r="F47" s="9"/>
      <c r="G47" s="15"/>
    </row>
    <row r="48" spans="3:6" ht="12.75">
      <c r="C48" s="16"/>
      <c r="F48" s="9"/>
    </row>
    <row r="49" spans="6:11" ht="12.75">
      <c r="F49" s="9"/>
      <c r="K49" s="13"/>
    </row>
    <row r="50" ht="12.75">
      <c r="K50" s="13"/>
    </row>
    <row r="52" spans="11:13" ht="12.75">
      <c r="K52" s="3"/>
      <c r="L52" s="2"/>
      <c r="M52" s="8"/>
    </row>
    <row r="53" spans="11:13" ht="12.75">
      <c r="K53" s="3"/>
      <c r="L53" s="2"/>
      <c r="M53" s="8"/>
    </row>
    <row r="54" ht="12.75">
      <c r="D54" s="7"/>
    </row>
    <row r="55" spans="3:13" ht="12.75">
      <c r="C55" s="3"/>
      <c r="D55" s="1"/>
      <c r="I55" s="1"/>
      <c r="J55" s="6"/>
      <c r="K55" s="3"/>
      <c r="L55" s="2"/>
      <c r="M55" s="8"/>
    </row>
    <row r="56" spans="3:13" ht="12.75">
      <c r="C56" s="3"/>
      <c r="D56" s="1"/>
      <c r="I56" s="1"/>
      <c r="J56" s="4"/>
      <c r="K56" s="3"/>
      <c r="L56" s="2"/>
      <c r="M56" s="8"/>
    </row>
    <row r="57" spans="9:13" ht="12.75">
      <c r="I57" s="1"/>
      <c r="J57" s="6"/>
      <c r="K57" s="9"/>
      <c r="L57" s="2"/>
      <c r="M57" s="8"/>
    </row>
  </sheetData>
  <sheetProtection sheet="1" objects="1" scenarios="1"/>
  <mergeCells count="1">
    <mergeCell ref="B2:K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5" sqref="C5"/>
    </sheetView>
  </sheetViews>
  <sheetFormatPr defaultColWidth="9.140625" defaultRowHeight="12.75"/>
  <cols>
    <col min="1" max="1" width="22.00390625" style="0" customWidth="1"/>
    <col min="3" max="3" width="9.28125" style="0" bestFit="1" customWidth="1"/>
  </cols>
  <sheetData>
    <row r="1" spans="1:2" ht="12.75">
      <c r="A1" t="s">
        <v>49</v>
      </c>
      <c r="B1">
        <v>2500</v>
      </c>
    </row>
    <row r="2" spans="1:2" ht="12.75">
      <c r="A2" t="s">
        <v>50</v>
      </c>
      <c r="B2">
        <v>7000</v>
      </c>
    </row>
    <row r="4" ht="12.75">
      <c r="A4" t="s">
        <v>51</v>
      </c>
    </row>
    <row r="5" spans="1:3" ht="12.75">
      <c r="A5" t="s">
        <v>52</v>
      </c>
      <c r="B5">
        <v>3.266</v>
      </c>
      <c r="C5" s="27">
        <f>B5*$B$1/B6</f>
        <v>4288.3403361344535</v>
      </c>
    </row>
    <row r="6" spans="1:3" ht="12.75">
      <c r="A6" t="s">
        <v>53</v>
      </c>
      <c r="B6">
        <v>1.904</v>
      </c>
      <c r="C6" s="27">
        <f>B6*$B$1/B7</f>
        <v>3835.616438356164</v>
      </c>
    </row>
    <row r="7" spans="1:3" ht="12.75">
      <c r="A7" t="s">
        <v>54</v>
      </c>
      <c r="B7">
        <v>1.241</v>
      </c>
      <c r="C7" s="27">
        <f>B7*$B$1/B8</f>
        <v>3379.62962962963</v>
      </c>
    </row>
    <row r="8" spans="1:3" ht="12.75">
      <c r="A8" t="s">
        <v>55</v>
      </c>
      <c r="B8">
        <v>0.918</v>
      </c>
      <c r="C8" s="27">
        <f>B8*$B$1/B9</f>
        <v>3130.968622100955</v>
      </c>
    </row>
    <row r="9" spans="1:3" ht="12.75">
      <c r="A9" t="s">
        <v>56</v>
      </c>
      <c r="B9">
        <v>0.733</v>
      </c>
      <c r="C9" s="27">
        <f>B9*$B$1/B10</f>
        <v>3111.2054329371817</v>
      </c>
    </row>
    <row r="10" spans="1:2" ht="12.75">
      <c r="A10" t="s">
        <v>57</v>
      </c>
      <c r="B10">
        <v>0.589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Lotter</dc:creator>
  <cp:keywords/>
  <dc:description/>
  <cp:lastModifiedBy>Rick Lotter</cp:lastModifiedBy>
  <cp:lastPrinted>2004-10-10T07:08:53Z</cp:lastPrinted>
  <dcterms:created xsi:type="dcterms:W3CDTF">2004-09-03T05:14:56Z</dcterms:created>
  <dcterms:modified xsi:type="dcterms:W3CDTF">2006-08-13T20:53:46Z</dcterms:modified>
  <cp:category/>
  <cp:version/>
  <cp:contentType/>
  <cp:contentStatus/>
</cp:coreProperties>
</file>